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3'!$A$1:$J$11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<sst xmlns="http://schemas.openxmlformats.org/spreadsheetml/2006/main" count="128" uniqueCount="99">
  <si>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</si>
  <si>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</si>
  <si>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</si>
  <si>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</si>
  <si>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</si>
  <si>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</si>
  <si>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</si>
  <si>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</si>
  <si>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</si>
  <si>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</si>
  <si>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</si>
  <si>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</si>
  <si>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</si>
  <si>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</si>
  <si>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</si>
  <si>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</si>
  <si>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</si>
  <si>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</si>
  <si>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</si>
  <si>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</si>
  <si>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</si>
  <si>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</si>
  <si>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</si>
  <si>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</si>
  <si>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</si>
  <si>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</si>
  <si>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</si>
  <si>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</si>
  <si>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</si>
  <si>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</si>
  <si>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</si>
  <si>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</si>
  <si>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</si>
  <si>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</si>
  <si>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</si>
  <si>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</si>
  <si>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</si>
  <si>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</si>
  <si>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</si>
  <si>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</si>
  <si>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</si>
  <si>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</si>
  <si>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</si>
  <si>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</si>
  <si>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</si>
  <si>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Ремонт и техническое обслуживание, в т.ч.</t>
  </si>
  <si>
    <t>2.1.</t>
  </si>
  <si>
    <t>Прочие прямые расходы, связанные с утилизацией (захоронением) отходов, в том числе</t>
  </si>
  <si>
    <t>Экологический мониторинг</t>
  </si>
  <si>
    <t>Арендная плата</t>
  </si>
  <si>
    <t>Расходы на оплату труда цехового персонала</t>
  </si>
  <si>
    <t xml:space="preserve">Расходы на оплату труда административно-управленческого персонала </t>
  </si>
  <si>
    <t>Численность цехового персонала, чел.</t>
  </si>
  <si>
    <t>Численность основного персонала, чел.</t>
  </si>
  <si>
    <t>Расходы на оплату труда ремонтного персонала</t>
  </si>
  <si>
    <t>Капитальный ремонт</t>
  </si>
  <si>
    <t>Общепроизводственные (цеховые расходы), в том числе</t>
  </si>
  <si>
    <t>Общехозяйственные (управленческие) расходы, в том числе</t>
  </si>
  <si>
    <t>Расходы, связанные с реализацией товаров (услуг)</t>
  </si>
  <si>
    <t>в том числе:</t>
  </si>
  <si>
    <t>1.2.1.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</si>
  <si>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</si>
  <si>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</si>
  <si>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</si>
  <si>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</si>
  <si>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</si>
  <si>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</si>
  <si>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</si>
  <si>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</si>
  <si>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</si>
  <si>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</si>
  <si>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</si>
  <si>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</si>
  <si>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</si>
  <si>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1.7.</t>
  </si>
  <si>
    <t>1.7.1.</t>
  </si>
  <si>
    <t>1.7.2.</t>
  </si>
  <si>
    <t>Итого расходов, связанных с производством и реализацией</t>
  </si>
  <si>
    <t>Прочие экономически обоснованные расходы относимые на прибыль после налогообложения</t>
  </si>
  <si>
    <t>Внереализационные расходы, в том числе:</t>
  </si>
  <si>
    <t>Единый налог, уплачиваемый организацией, применяющей упрощенную систему налогообложения</t>
  </si>
  <si>
    <t>Налоги и сборы, в том числе:</t>
  </si>
  <si>
    <t>2.2.</t>
  </si>
  <si>
    <t>2.2.1.</t>
  </si>
  <si>
    <t>Итого внереализационных расходов</t>
  </si>
  <si>
    <t>3.</t>
  </si>
  <si>
    <t>Объем финансовых потребностей по реализации производственной программы  организации коммунального комплекса</t>
  </si>
  <si>
    <t>Расходы на ремонт основных средств</t>
  </si>
  <si>
    <t>2013 год</t>
  </si>
  <si>
    <t>Материалы</t>
  </si>
  <si>
    <t>2013 г.</t>
  </si>
  <si>
    <t>Приложение № 1
к экспертному заключению 
по делу № 319-13в</t>
  </si>
  <si>
    <t>Приложение № 3                                           к экспертному заключению по делу № 319-13в</t>
  </si>
  <si>
    <t>со дня введения тарифа в действие по 31.12.2013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</si>
  <si>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</si>
  <si>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Всего 2013-2016 годы</t>
  </si>
  <si>
    <t>Приложение № 2                                                                                                к экспертному заключению по делу 
№ 319-13в</t>
  </si>
  <si>
    <t>индивидуального предпринимателя Кривобокова Виталия Александровича 
(г. Красноярск, ИНН 246000032685)</t>
  </si>
  <si>
    <t>Тарифы на услуги по утилизации (захоронению) твердых бытовых отходов для потребителей индивидуального предпринимателя Кривобокова Виталия Александровича 
(г. Красноярск, ИНН 246000032685)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</si>
</sst>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5" fillId="0" borderId="10" xfId="57" applyFont="1" applyBorder="1" applyAlignment="1">
      <alignment horizontal="center" vertical="center" wrapText="1"/>
      <protection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5" fillId="33" borderId="0" xfId="58" applyFont="1" applyFill="1">
      <alignment/>
      <protection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5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wrapText="1"/>
      <protection/>
    </xf>
    <xf numFmtId="0" fontId="5" fillId="33" borderId="0" xfId="58" applyFont="1" applyFill="1" applyAlignment="1">
      <alignment horizontal="right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1" fillId="33" borderId="13" xfId="53" applyNumberFormat="1" applyFont="1" applyFill="1" applyBorder="1" applyAlignment="1">
      <alignment horizontal="center" vertical="center" wrapText="1"/>
      <protection/>
    </xf>
    <xf numFmtId="4" fontId="5" fillId="33" borderId="10" xfId="58" applyNumberFormat="1" applyFont="1" applyFill="1" applyBorder="1" applyAlignment="1">
      <alignment horizontal="center" vertical="center"/>
      <protection/>
    </xf>
    <xf numFmtId="0" fontId="7" fillId="33" borderId="0" xfId="58" applyFont="1" applyFill="1" applyAlignment="1">
      <alignment/>
      <protection/>
    </xf>
    <xf numFmtId="0" fontId="7" fillId="33" borderId="0" xfId="58" applyFont="1" applyFill="1" applyAlignment="1">
      <alignment horizontal="left" vertical="center" wrapText="1"/>
      <protection/>
    </xf>
    <xf numFmtId="0" fontId="7" fillId="33" borderId="0" xfId="58" applyFont="1" applyFill="1">
      <alignment/>
      <protection/>
    </xf>
    <xf numFmtId="0" fontId="7" fillId="33" borderId="0" xfId="58" applyFont="1" applyFill="1" applyAlignment="1">
      <alignment horizontal="center"/>
      <protection/>
    </xf>
    <xf numFmtId="0" fontId="9" fillId="33" borderId="0" xfId="0" applyFont="1" applyFill="1" applyAlignment="1">
      <alignment vertical="center" wrapText="1"/>
    </xf>
    <xf numFmtId="0" fontId="5" fillId="33" borderId="0" xfId="58" applyFont="1" applyFill="1" applyAlignment="1">
      <alignment horizont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14" fontId="1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33" borderId="13" xfId="53" applyNumberFormat="1" applyFont="1" applyFill="1" applyBorder="1" applyAlignment="1">
      <alignment horizontal="center" vertical="center"/>
      <protection/>
    </xf>
    <xf numFmtId="2" fontId="5" fillId="33" borderId="10" xfId="58" applyNumberFormat="1" applyFont="1" applyFill="1" applyBorder="1" applyAlignment="1">
      <alignment horizontal="center" vertical="center"/>
      <protection/>
    </xf>
    <xf numFmtId="2" fontId="5" fillId="33" borderId="10" xfId="58" applyNumberFormat="1" applyFont="1" applyFill="1" applyBorder="1" applyAlignment="1">
      <alignment horizontal="center" vertical="center" wrapText="1"/>
      <protection/>
    </xf>
    <xf numFmtId="2" fontId="1" fillId="33" borderId="13" xfId="53" applyNumberFormat="1" applyFont="1" applyFill="1" applyBorder="1" applyAlignment="1">
      <alignment horizontal="center" vertical="center" wrapText="1"/>
      <protection/>
    </xf>
    <xf numFmtId="2" fontId="5" fillId="33" borderId="13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7" fillId="33" borderId="0" xfId="58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7" fillId="33" borderId="0" xfId="58" applyFont="1" applyFill="1" applyAlignment="1">
      <alignment horizontal="left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49" fillId="0" borderId="0" xfId="57" applyFont="1" applyAlignment="1">
      <alignment horizontal="left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1" xfId="57" applyFont="1" applyBorder="1" applyAlignment="1">
      <alignment horizontal="center" vertical="center" wrapText="1"/>
      <protection/>
    </xf>
    <xf numFmtId="0" fontId="45" fillId="0" borderId="17" xfId="57" applyFont="1" applyBorder="1" applyAlignment="1">
      <alignment horizontal="center" vertical="center" wrapText="1"/>
      <protection/>
    </xf>
    <xf numFmtId="0" fontId="45" fillId="0" borderId="18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workbookViewId="0" topLeftCell="A1">
      <selection activeCell="C6" sqref="C6:C7"/>
    </sheetView>
  </sheetViews>
  <sheetFormatPr defaultColWidth="39.8515625" defaultRowHeight="12.75"/>
  <cols>
    <col min="1" max="1" width="6.140625" style="2" customWidth="1"/>
    <col min="2" max="2" width="27.7109375" style="2" customWidth="1"/>
    <col min="3" max="3" width="11.8515625" style="2" customWidth="1"/>
    <col min="4" max="4" width="10.8515625" style="2" customWidth="1"/>
    <col min="5" max="5" width="10.421875" style="2" customWidth="1"/>
    <col min="6" max="7" width="10.7109375" style="2" customWidth="1"/>
    <col min="8" max="16384" width="39.8515625" style="2" customWidth="1"/>
  </cols>
  <sheetData>
    <row r="1" spans="1:7" ht="53.25" customHeight="1">
      <c r="A1" s="21"/>
      <c r="B1" s="21"/>
      <c r="C1" s="21"/>
      <c r="D1" s="21"/>
      <c r="E1" s="60" t="s">
        <v>91</v>
      </c>
      <c r="F1" s="61"/>
      <c r="G1" s="61"/>
    </row>
    <row r="2" spans="1:7" ht="30" customHeight="1">
      <c r="A2" s="21"/>
      <c r="B2" s="21"/>
      <c r="C2" s="21"/>
      <c r="D2" s="21"/>
      <c r="E2" s="21"/>
      <c r="F2" s="21"/>
      <c r="G2" s="22"/>
    </row>
    <row r="3" spans="1:8" ht="20.25" customHeight="1">
      <c r="A3" s="58" t="s">
        <v>33</v>
      </c>
      <c r="B3" s="58"/>
      <c r="C3" s="58"/>
      <c r="D3" s="58"/>
      <c r="E3" s="58"/>
      <c r="F3" s="58"/>
      <c r="G3" s="58"/>
      <c r="H3" s="5"/>
    </row>
    <row r="4" spans="1:10" ht="38.25" customHeight="1">
      <c r="A4" s="59" t="s">
        <v>97</v>
      </c>
      <c r="B4" s="59"/>
      <c r="C4" s="59"/>
      <c r="D4" s="59"/>
      <c r="E4" s="59"/>
      <c r="F4" s="59"/>
      <c r="G4" s="59"/>
      <c r="H4" s="1"/>
      <c r="I4" s="1"/>
      <c r="J4" s="1"/>
    </row>
    <row r="5" spans="1:7" ht="18.75">
      <c r="A5" s="21"/>
      <c r="B5" s="21"/>
      <c r="C5" s="21"/>
      <c r="D5" s="21"/>
      <c r="E5" s="21"/>
      <c r="F5" s="21"/>
      <c r="G5" s="22"/>
    </row>
    <row r="6" spans="1:7" ht="36" customHeight="1">
      <c r="A6" s="62" t="s">
        <v>6</v>
      </c>
      <c r="B6" s="62" t="s">
        <v>7</v>
      </c>
      <c r="C6" s="62" t="s">
        <v>8</v>
      </c>
      <c r="D6" s="64" t="s">
        <v>34</v>
      </c>
      <c r="E6" s="65"/>
      <c r="F6" s="65"/>
      <c r="G6" s="66"/>
    </row>
    <row r="7" spans="1:7" ht="15.75">
      <c r="A7" s="63"/>
      <c r="B7" s="63"/>
      <c r="C7" s="63"/>
      <c r="D7" s="19" t="s">
        <v>90</v>
      </c>
      <c r="E7" s="19" t="s">
        <v>15</v>
      </c>
      <c r="F7" s="19" t="s">
        <v>16</v>
      </c>
      <c r="G7" s="19" t="s">
        <v>35</v>
      </c>
    </row>
    <row r="8" spans="1:7" ht="14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ht="47.25" customHeight="1">
      <c r="A9" s="19">
        <v>1</v>
      </c>
      <c r="B9" s="20" t="s">
        <v>36</v>
      </c>
      <c r="C9" s="19" t="s">
        <v>37</v>
      </c>
      <c r="D9" s="6">
        <v>9.117</v>
      </c>
      <c r="E9" s="6">
        <v>109.4</v>
      </c>
      <c r="F9" s="6">
        <v>109.4</v>
      </c>
      <c r="G9" s="6">
        <v>109.4</v>
      </c>
    </row>
    <row r="10" spans="1:7" ht="36" customHeight="1">
      <c r="A10" s="19" t="s">
        <v>1</v>
      </c>
      <c r="B10" s="20" t="s">
        <v>38</v>
      </c>
      <c r="C10" s="19" t="s">
        <v>37</v>
      </c>
      <c r="D10" s="6">
        <v>5.096</v>
      </c>
      <c r="E10" s="6">
        <v>61.15</v>
      </c>
      <c r="F10" s="6">
        <v>61.15</v>
      </c>
      <c r="G10" s="6">
        <v>61.15</v>
      </c>
    </row>
    <row r="11" spans="1:7" ht="15.75">
      <c r="A11" s="19" t="s">
        <v>2</v>
      </c>
      <c r="B11" s="20" t="s">
        <v>39</v>
      </c>
      <c r="C11" s="19" t="s">
        <v>37</v>
      </c>
      <c r="D11" s="6">
        <v>1.279</v>
      </c>
      <c r="E11" s="6">
        <v>15.343</v>
      </c>
      <c r="F11" s="6">
        <v>15.343</v>
      </c>
      <c r="G11" s="6">
        <v>15.343</v>
      </c>
    </row>
    <row r="12" spans="1:7" ht="15.75">
      <c r="A12" s="19" t="s">
        <v>40</v>
      </c>
      <c r="B12" s="20" t="s">
        <v>41</v>
      </c>
      <c r="C12" s="19" t="s">
        <v>37</v>
      </c>
      <c r="D12" s="27">
        <v>2.742</v>
      </c>
      <c r="E12" s="27">
        <v>32.906</v>
      </c>
      <c r="F12" s="27">
        <v>32.906</v>
      </c>
      <c r="G12" s="27">
        <v>32.906</v>
      </c>
    </row>
    <row r="13" spans="1:7" ht="47.25">
      <c r="A13" s="19">
        <v>2</v>
      </c>
      <c r="B13" s="20" t="s">
        <v>19</v>
      </c>
      <c r="C13" s="18" t="s">
        <v>42</v>
      </c>
      <c r="D13" s="28">
        <v>72911</v>
      </c>
      <c r="E13" s="28">
        <v>72911</v>
      </c>
      <c r="F13" s="28">
        <v>72911</v>
      </c>
      <c r="G13" s="28">
        <v>72911</v>
      </c>
    </row>
    <row r="14" spans="1:7" ht="31.5">
      <c r="A14" s="19">
        <v>3</v>
      </c>
      <c r="B14" s="20" t="s">
        <v>17</v>
      </c>
      <c r="C14" s="18" t="s">
        <v>37</v>
      </c>
      <c r="D14" s="28">
        <v>778731</v>
      </c>
      <c r="E14" s="28">
        <v>778731</v>
      </c>
      <c r="F14" s="28">
        <v>778731</v>
      </c>
      <c r="G14" s="28">
        <v>778731</v>
      </c>
    </row>
    <row r="15" spans="1:7" ht="31.5">
      <c r="A15" s="19">
        <v>4</v>
      </c>
      <c r="B15" s="20" t="s">
        <v>18</v>
      </c>
      <c r="C15" s="18" t="s">
        <v>37</v>
      </c>
      <c r="D15" s="28">
        <v>0</v>
      </c>
      <c r="E15" s="28">
        <v>0</v>
      </c>
      <c r="F15" s="28">
        <v>0</v>
      </c>
      <c r="G15" s="28">
        <v>0</v>
      </c>
    </row>
  </sheetData>
  <sheetProtection/>
  <mergeCells count="7">
    <mergeCell ref="A3:G3"/>
    <mergeCell ref="A4:G4"/>
    <mergeCell ref="E1:G1"/>
    <mergeCell ref="A6:A7"/>
    <mergeCell ref="B6:B7"/>
    <mergeCell ref="C6:C7"/>
    <mergeCell ref="D6:G6"/>
  </mergeCells>
  <printOptions/>
  <pageMargins left="1.08" right="0.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Q38"/>
  <sheetViews>
    <sheetView tabSelected="1" workbookViewId="0" topLeftCell="A2">
      <pane ySplit="7" topLeftCell="A9" activePane="bottomLeft" state="frozen"/>
      <selection pane="topLeft" activeCell="A2" sqref="A2"/>
      <selection pane="bottomLeft" activeCell="D33" sqref="D33"/>
    </sheetView>
  </sheetViews>
  <sheetFormatPr defaultColWidth="9.140625" defaultRowHeight="12.75"/>
  <cols>
    <col min="1" max="1" width="8.140625" style="26" customWidth="1"/>
    <col min="2" max="2" width="26.00390625" style="26" customWidth="1"/>
    <col min="3" max="3" width="14.28125" style="26" customWidth="1"/>
    <col min="4" max="4" width="13.00390625" style="26" customWidth="1"/>
    <col min="5" max="5" width="12.8515625" style="26" customWidth="1"/>
    <col min="6" max="6" width="14.00390625" style="44" customWidth="1"/>
    <col min="7" max="7" width="13.8515625" style="44" customWidth="1"/>
    <col min="8" max="8" width="12.8515625" style="26" customWidth="1"/>
    <col min="9" max="9" width="14.140625" style="26" customWidth="1"/>
    <col min="10" max="10" width="12.421875" style="26" customWidth="1"/>
    <col min="11" max="11" width="15.140625" style="26" customWidth="1"/>
    <col min="12" max="12" width="15.28125" style="26" customWidth="1"/>
    <col min="13" max="13" width="14.140625" style="26" customWidth="1"/>
    <col min="14" max="14" width="12.8515625" style="26" customWidth="1"/>
    <col min="15" max="15" width="13.8515625" style="26" customWidth="1"/>
    <col min="16" max="16" width="11.28125" style="26" customWidth="1"/>
    <col min="17" max="17" width="14.421875" style="26" customWidth="1"/>
    <col min="18" max="16384" width="9.140625" style="3" customWidth="1"/>
  </cols>
  <sheetData>
    <row r="1" ht="15.75" hidden="1"/>
    <row r="2" spans="2:14" ht="54.75" customHeight="1">
      <c r="B2" s="39"/>
      <c r="C2" s="39"/>
      <c r="D2" s="39"/>
      <c r="E2" s="39"/>
      <c r="F2" s="71"/>
      <c r="G2" s="71"/>
      <c r="H2" s="71"/>
      <c r="I2" s="40"/>
      <c r="J2" s="40"/>
      <c r="K2" s="71" t="s">
        <v>96</v>
      </c>
      <c r="L2" s="71"/>
      <c r="M2" s="71"/>
      <c r="N2" s="71"/>
    </row>
    <row r="3" spans="1:7" ht="18.75">
      <c r="A3" s="41"/>
      <c r="B3" s="41"/>
      <c r="C3" s="41"/>
      <c r="D3" s="41"/>
      <c r="E3" s="41"/>
      <c r="F3" s="42"/>
      <c r="G3" s="42"/>
    </row>
    <row r="4" spans="1:15" ht="19.5" customHeight="1">
      <c r="A4" s="69" t="s">
        <v>10</v>
      </c>
      <c r="B4" s="69"/>
      <c r="C4" s="69"/>
      <c r="D4" s="69"/>
      <c r="E4" s="69"/>
      <c r="F4" s="69"/>
      <c r="G4" s="69"/>
      <c r="H4" s="69"/>
      <c r="I4" s="70"/>
      <c r="J4" s="70"/>
      <c r="K4" s="70"/>
      <c r="L4" s="70"/>
      <c r="M4" s="70"/>
      <c r="N4" s="70"/>
      <c r="O4" s="43"/>
    </row>
    <row r="5" spans="1:14" ht="43.5" customHeight="1">
      <c r="A5" s="67" t="s">
        <v>97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8:14" ht="16.5" customHeight="1">
      <c r="H6" s="31"/>
      <c r="I6" s="31"/>
      <c r="J6" s="31"/>
      <c r="K6" s="31"/>
      <c r="L6" s="31"/>
      <c r="M6" s="31"/>
      <c r="N6" s="31" t="s">
        <v>5</v>
      </c>
    </row>
    <row r="7" spans="1:17" ht="17.25" customHeight="1">
      <c r="A7" s="68" t="s">
        <v>6</v>
      </c>
      <c r="B7" s="68" t="s">
        <v>0</v>
      </c>
      <c r="C7" s="72" t="s">
        <v>88</v>
      </c>
      <c r="D7" s="73"/>
      <c r="E7" s="74"/>
      <c r="F7" s="68" t="s">
        <v>20</v>
      </c>
      <c r="G7" s="68"/>
      <c r="H7" s="68"/>
      <c r="I7" s="68" t="s">
        <v>22</v>
      </c>
      <c r="J7" s="68"/>
      <c r="K7" s="68"/>
      <c r="L7" s="68" t="s">
        <v>21</v>
      </c>
      <c r="M7" s="68"/>
      <c r="N7" s="68"/>
      <c r="O7" s="75" t="s">
        <v>95</v>
      </c>
      <c r="P7" s="75"/>
      <c r="Q7" s="75"/>
    </row>
    <row r="8" spans="1:17" ht="68.25" customHeight="1">
      <c r="A8" s="68"/>
      <c r="B8" s="68"/>
      <c r="C8" s="32" t="s">
        <v>9</v>
      </c>
      <c r="D8" s="32" t="s">
        <v>3</v>
      </c>
      <c r="E8" s="45" t="s">
        <v>4</v>
      </c>
      <c r="F8" s="32" t="s">
        <v>9</v>
      </c>
      <c r="G8" s="32" t="s">
        <v>3</v>
      </c>
      <c r="H8" s="45" t="s">
        <v>4</v>
      </c>
      <c r="I8" s="32" t="s">
        <v>9</v>
      </c>
      <c r="J8" s="32" t="s">
        <v>3</v>
      </c>
      <c r="K8" s="45" t="s">
        <v>4</v>
      </c>
      <c r="L8" s="32" t="s">
        <v>9</v>
      </c>
      <c r="M8" s="32" t="s">
        <v>3</v>
      </c>
      <c r="N8" s="45" t="s">
        <v>4</v>
      </c>
      <c r="O8" s="32" t="s">
        <v>9</v>
      </c>
      <c r="P8" s="32" t="s">
        <v>3</v>
      </c>
      <c r="Q8" s="45" t="s">
        <v>4</v>
      </c>
    </row>
    <row r="9" spans="1:17" ht="15.75">
      <c r="A9" s="45">
        <v>1</v>
      </c>
      <c r="B9" s="45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</row>
    <row r="10" spans="1:17" ht="47.25">
      <c r="A10" s="45">
        <v>1</v>
      </c>
      <c r="B10" s="46" t="s">
        <v>58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7"/>
      <c r="Q10" s="47"/>
    </row>
    <row r="11" spans="1:17" ht="15.75">
      <c r="A11" s="45"/>
      <c r="B11" s="46" t="s">
        <v>59</v>
      </c>
      <c r="C11" s="48"/>
      <c r="D11" s="48"/>
      <c r="E11" s="34"/>
      <c r="F11" s="35"/>
      <c r="G11" s="35"/>
      <c r="H11" s="34"/>
      <c r="I11" s="35"/>
      <c r="J11" s="35"/>
      <c r="K11" s="34"/>
      <c r="L11" s="35"/>
      <c r="M11" s="35"/>
      <c r="N11" s="34"/>
      <c r="O11" s="47"/>
      <c r="P11" s="47"/>
      <c r="Q11" s="47"/>
    </row>
    <row r="12" spans="1:17" ht="37.5" customHeight="1">
      <c r="A12" s="49" t="s">
        <v>1</v>
      </c>
      <c r="B12" s="25" t="s">
        <v>23</v>
      </c>
      <c r="C12" s="56">
        <v>0</v>
      </c>
      <c r="D12" s="56">
        <v>0</v>
      </c>
      <c r="E12" s="57">
        <f aca="true" t="shared" si="0" ref="E12:E31">C12-D12</f>
        <v>0</v>
      </c>
      <c r="F12" s="53">
        <v>0</v>
      </c>
      <c r="G12" s="53">
        <v>0</v>
      </c>
      <c r="H12" s="57">
        <f aca="true" t="shared" si="1" ref="H12:H31">F12-G12</f>
        <v>0</v>
      </c>
      <c r="I12" s="53">
        <v>0</v>
      </c>
      <c r="J12" s="53">
        <v>0</v>
      </c>
      <c r="K12" s="57">
        <f aca="true" t="shared" si="2" ref="K12:K31">I12-J12</f>
        <v>0</v>
      </c>
      <c r="L12" s="53">
        <v>0</v>
      </c>
      <c r="M12" s="53">
        <v>0</v>
      </c>
      <c r="N12" s="57">
        <f aca="true" t="shared" si="3" ref="N12:N31">L12-M12</f>
        <v>0</v>
      </c>
      <c r="O12" s="54">
        <v>0</v>
      </c>
      <c r="P12" s="54">
        <v>0</v>
      </c>
      <c r="Q12" s="54">
        <f>O12-P12</f>
        <v>0</v>
      </c>
    </row>
    <row r="13" spans="1:17" ht="31.5">
      <c r="A13" s="24" t="s">
        <v>2</v>
      </c>
      <c r="B13" s="25" t="s">
        <v>43</v>
      </c>
      <c r="C13" s="52">
        <v>103.219</v>
      </c>
      <c r="D13" s="52">
        <v>16.812</v>
      </c>
      <c r="E13" s="57">
        <f t="shared" si="0"/>
        <v>86.407</v>
      </c>
      <c r="F13" s="52">
        <v>1238.637</v>
      </c>
      <c r="G13" s="52">
        <f>100.872+106.521</f>
        <v>207.393</v>
      </c>
      <c r="H13" s="57">
        <f t="shared" si="1"/>
        <v>1031.244</v>
      </c>
      <c r="I13" s="52">
        <v>1238.637</v>
      </c>
      <c r="J13" s="53">
        <f>106.521+111.528</f>
        <v>218.049</v>
      </c>
      <c r="K13" s="57">
        <f t="shared" si="2"/>
        <v>1020.588</v>
      </c>
      <c r="L13" s="52">
        <v>1238.637</v>
      </c>
      <c r="M13" s="52">
        <f>111.528+116.769</f>
        <v>228.29700000000003</v>
      </c>
      <c r="N13" s="57">
        <f t="shared" si="3"/>
        <v>1010.3399999999999</v>
      </c>
      <c r="O13" s="52">
        <f>C13+F13+I13+L13</f>
        <v>3819.13</v>
      </c>
      <c r="P13" s="54">
        <f>D13+G13+J13+M13</f>
        <v>670.551</v>
      </c>
      <c r="Q13" s="54">
        <f aca="true" t="shared" si="4" ref="Q13:Q38">O13-P13</f>
        <v>3148.579</v>
      </c>
    </row>
    <row r="14" spans="1:17" s="26" customFormat="1" ht="31.5">
      <c r="A14" s="24" t="s">
        <v>60</v>
      </c>
      <c r="B14" s="25" t="s">
        <v>53</v>
      </c>
      <c r="C14" s="52">
        <v>4.2</v>
      </c>
      <c r="D14" s="52">
        <v>4.2</v>
      </c>
      <c r="E14" s="57">
        <f t="shared" si="0"/>
        <v>0</v>
      </c>
      <c r="F14" s="52">
        <v>4.2</v>
      </c>
      <c r="G14" s="52">
        <v>4.2</v>
      </c>
      <c r="H14" s="57">
        <f t="shared" si="1"/>
        <v>0</v>
      </c>
      <c r="I14" s="52">
        <v>4.2</v>
      </c>
      <c r="J14" s="52">
        <v>4.2</v>
      </c>
      <c r="K14" s="57">
        <f t="shared" si="2"/>
        <v>0</v>
      </c>
      <c r="L14" s="52">
        <v>4.2</v>
      </c>
      <c r="M14" s="52">
        <v>4.2</v>
      </c>
      <c r="N14" s="57">
        <f t="shared" si="3"/>
        <v>0</v>
      </c>
      <c r="O14" s="52">
        <v>4.2</v>
      </c>
      <c r="P14" s="52">
        <v>4.2</v>
      </c>
      <c r="Q14" s="54">
        <f t="shared" si="4"/>
        <v>0</v>
      </c>
    </row>
    <row r="15" spans="1:17" ht="31.5">
      <c r="A15" s="24" t="s">
        <v>40</v>
      </c>
      <c r="B15" s="25" t="s">
        <v>44</v>
      </c>
      <c r="C15" s="52">
        <v>31.688</v>
      </c>
      <c r="D15" s="52">
        <v>5.16</v>
      </c>
      <c r="E15" s="57">
        <f t="shared" si="0"/>
        <v>26.528</v>
      </c>
      <c r="F15" s="52">
        <v>380.26</v>
      </c>
      <c r="G15" s="52">
        <f>30.97+32.7</f>
        <v>63.67</v>
      </c>
      <c r="H15" s="57">
        <f t="shared" si="1"/>
        <v>316.59</v>
      </c>
      <c r="I15" s="52">
        <v>380.26</v>
      </c>
      <c r="J15" s="52">
        <f>32.7+34.24</f>
        <v>66.94</v>
      </c>
      <c r="K15" s="57">
        <f t="shared" si="2"/>
        <v>313.32</v>
      </c>
      <c r="L15" s="52">
        <v>380.26</v>
      </c>
      <c r="M15" s="52">
        <f>34.24+35.85</f>
        <v>70.09</v>
      </c>
      <c r="N15" s="57">
        <f t="shared" si="3"/>
        <v>310.16999999999996</v>
      </c>
      <c r="O15" s="52">
        <f aca="true" t="shared" si="5" ref="O15:O20">C15+F15+I15+L15</f>
        <v>1172.4679999999998</v>
      </c>
      <c r="P15" s="54">
        <f aca="true" t="shared" si="6" ref="P15:P26">D15+G15+J15+M15</f>
        <v>205.85999999999999</v>
      </c>
      <c r="Q15" s="54">
        <f t="shared" si="4"/>
        <v>966.6079999999998</v>
      </c>
    </row>
    <row r="16" spans="1:17" ht="31.5">
      <c r="A16" s="24" t="s">
        <v>61</v>
      </c>
      <c r="B16" s="25" t="s">
        <v>45</v>
      </c>
      <c r="C16" s="52">
        <v>51.23</v>
      </c>
      <c r="D16" s="52">
        <v>14.26</v>
      </c>
      <c r="E16" s="57">
        <f t="shared" si="0"/>
        <v>36.97</v>
      </c>
      <c r="F16" s="52">
        <v>614.763</v>
      </c>
      <c r="G16" s="52">
        <f>85.54+88.59</f>
        <v>174.13</v>
      </c>
      <c r="H16" s="57">
        <f t="shared" si="1"/>
        <v>440.63300000000004</v>
      </c>
      <c r="I16" s="52">
        <v>614.763</v>
      </c>
      <c r="J16" s="52">
        <f>88.59+91.3</f>
        <v>179.89</v>
      </c>
      <c r="K16" s="57">
        <f t="shared" si="2"/>
        <v>434.87300000000005</v>
      </c>
      <c r="L16" s="52">
        <v>614.763</v>
      </c>
      <c r="M16" s="53">
        <f>91.3+94.13</f>
        <v>185.43</v>
      </c>
      <c r="N16" s="57">
        <f t="shared" si="3"/>
        <v>429.333</v>
      </c>
      <c r="O16" s="52">
        <f t="shared" si="5"/>
        <v>1895.5190000000002</v>
      </c>
      <c r="P16" s="54">
        <f t="shared" si="6"/>
        <v>553.71</v>
      </c>
      <c r="Q16" s="54">
        <f t="shared" si="4"/>
        <v>1341.8090000000002</v>
      </c>
    </row>
    <row r="17" spans="1:17" ht="31.5">
      <c r="A17" s="24" t="s">
        <v>62</v>
      </c>
      <c r="B17" s="25" t="s">
        <v>54</v>
      </c>
      <c r="C17" s="52">
        <v>26.986</v>
      </c>
      <c r="D17" s="52">
        <v>6.95</v>
      </c>
      <c r="E17" s="57">
        <f t="shared" si="0"/>
        <v>20.036</v>
      </c>
      <c r="F17" s="52">
        <v>323.83</v>
      </c>
      <c r="G17" s="52">
        <f>41.68+44.02</f>
        <v>85.7</v>
      </c>
      <c r="H17" s="57">
        <f t="shared" si="1"/>
        <v>238.13</v>
      </c>
      <c r="I17" s="52">
        <v>323.83</v>
      </c>
      <c r="J17" s="52">
        <f>44.02+46.09</f>
        <v>90.11000000000001</v>
      </c>
      <c r="K17" s="57">
        <f t="shared" si="2"/>
        <v>233.71999999999997</v>
      </c>
      <c r="L17" s="52">
        <v>323.83</v>
      </c>
      <c r="M17" s="52">
        <f>46.09+48.25</f>
        <v>94.34</v>
      </c>
      <c r="N17" s="57">
        <f t="shared" si="3"/>
        <v>229.48999999999998</v>
      </c>
      <c r="O17" s="52">
        <f t="shared" si="5"/>
        <v>998.4759999999999</v>
      </c>
      <c r="P17" s="54">
        <f t="shared" si="6"/>
        <v>277.1</v>
      </c>
      <c r="Q17" s="54">
        <f t="shared" si="4"/>
        <v>721.3759999999999</v>
      </c>
    </row>
    <row r="18" spans="1:17" ht="31.5">
      <c r="A18" s="24" t="s">
        <v>63</v>
      </c>
      <c r="B18" s="25" t="s">
        <v>44</v>
      </c>
      <c r="C18" s="52">
        <v>8.28</v>
      </c>
      <c r="D18" s="52">
        <v>2.13</v>
      </c>
      <c r="E18" s="57">
        <f t="shared" si="0"/>
        <v>6.1499999999999995</v>
      </c>
      <c r="F18" s="52">
        <v>99.415</v>
      </c>
      <c r="G18" s="52">
        <f>12.8+13.51</f>
        <v>26.310000000000002</v>
      </c>
      <c r="H18" s="57">
        <f t="shared" si="1"/>
        <v>73.105</v>
      </c>
      <c r="I18" s="52">
        <v>99.415</v>
      </c>
      <c r="J18" s="52">
        <f>13.51+14.15</f>
        <v>27.66</v>
      </c>
      <c r="K18" s="57">
        <f t="shared" si="2"/>
        <v>71.75500000000001</v>
      </c>
      <c r="L18" s="52">
        <v>99.415</v>
      </c>
      <c r="M18" s="52">
        <f>14.15+14.81</f>
        <v>28.96</v>
      </c>
      <c r="N18" s="57">
        <f t="shared" si="3"/>
        <v>70.45500000000001</v>
      </c>
      <c r="O18" s="52">
        <f t="shared" si="5"/>
        <v>306.52500000000003</v>
      </c>
      <c r="P18" s="54">
        <f t="shared" si="6"/>
        <v>85.06</v>
      </c>
      <c r="Q18" s="54">
        <f t="shared" si="4"/>
        <v>221.46500000000003</v>
      </c>
    </row>
    <row r="19" spans="1:17" ht="31.5">
      <c r="A19" s="24" t="s">
        <v>64</v>
      </c>
      <c r="B19" s="25" t="s">
        <v>87</v>
      </c>
      <c r="C19" s="52">
        <v>0</v>
      </c>
      <c r="D19" s="52">
        <v>0</v>
      </c>
      <c r="E19" s="57">
        <f t="shared" si="0"/>
        <v>0</v>
      </c>
      <c r="F19" s="52">
        <v>0</v>
      </c>
      <c r="G19" s="52">
        <v>0</v>
      </c>
      <c r="H19" s="57">
        <f t="shared" si="1"/>
        <v>0</v>
      </c>
      <c r="I19" s="53">
        <v>0</v>
      </c>
      <c r="J19" s="52">
        <v>0</v>
      </c>
      <c r="K19" s="57">
        <f t="shared" si="2"/>
        <v>0</v>
      </c>
      <c r="L19" s="53">
        <v>0</v>
      </c>
      <c r="M19" s="52">
        <v>0</v>
      </c>
      <c r="N19" s="57">
        <f t="shared" si="3"/>
        <v>0</v>
      </c>
      <c r="O19" s="54">
        <f t="shared" si="5"/>
        <v>0</v>
      </c>
      <c r="P19" s="54">
        <f t="shared" si="6"/>
        <v>0</v>
      </c>
      <c r="Q19" s="54">
        <f t="shared" si="4"/>
        <v>0</v>
      </c>
    </row>
    <row r="20" spans="1:17" ht="15.75">
      <c r="A20" s="24" t="s">
        <v>65</v>
      </c>
      <c r="B20" s="25" t="s">
        <v>55</v>
      </c>
      <c r="C20" s="52">
        <v>15.959</v>
      </c>
      <c r="D20" s="52">
        <v>5.18</v>
      </c>
      <c r="E20" s="57">
        <f t="shared" si="0"/>
        <v>10.779</v>
      </c>
      <c r="F20" s="52">
        <v>191.517</v>
      </c>
      <c r="G20" s="52">
        <f>31.06+31.06</f>
        <v>62.12</v>
      </c>
      <c r="H20" s="57">
        <f t="shared" si="1"/>
        <v>129.397</v>
      </c>
      <c r="I20" s="52">
        <v>191.517</v>
      </c>
      <c r="J20" s="52">
        <f>31.06+31.06</f>
        <v>62.12</v>
      </c>
      <c r="K20" s="57">
        <f t="shared" si="2"/>
        <v>129.397</v>
      </c>
      <c r="L20" s="52">
        <v>191.517</v>
      </c>
      <c r="M20" s="52">
        <f>31.06+31.06</f>
        <v>62.12</v>
      </c>
      <c r="N20" s="57">
        <f t="shared" si="3"/>
        <v>129.397</v>
      </c>
      <c r="O20" s="54">
        <f t="shared" si="5"/>
        <v>590.51</v>
      </c>
      <c r="P20" s="54">
        <f t="shared" si="6"/>
        <v>191.54</v>
      </c>
      <c r="Q20" s="54">
        <f t="shared" si="4"/>
        <v>398.97</v>
      </c>
    </row>
    <row r="21" spans="1:17" ht="66" customHeight="1">
      <c r="A21" s="24" t="s">
        <v>66</v>
      </c>
      <c r="B21" s="25" t="s">
        <v>47</v>
      </c>
      <c r="C21" s="52">
        <f>C23+C24+C22</f>
        <v>1330.4029999999998</v>
      </c>
      <c r="D21" s="52">
        <f>D23+D24+D22</f>
        <v>1083.2</v>
      </c>
      <c r="E21" s="57">
        <f t="shared" si="0"/>
        <v>247.20299999999975</v>
      </c>
      <c r="F21" s="52">
        <f>F23+F24+F22</f>
        <v>15964.844</v>
      </c>
      <c r="G21" s="52">
        <f>G23+G24+G22</f>
        <v>13090.137999999999</v>
      </c>
      <c r="H21" s="57">
        <f t="shared" si="1"/>
        <v>2874.706</v>
      </c>
      <c r="I21" s="52">
        <f>I23+I24+I22</f>
        <v>15964.844</v>
      </c>
      <c r="J21" s="52">
        <f>J23+J24+J22</f>
        <v>13287.646999999997</v>
      </c>
      <c r="K21" s="57">
        <f t="shared" si="2"/>
        <v>2677.197000000002</v>
      </c>
      <c r="L21" s="52">
        <f>L23+L24+L22</f>
        <v>15964.844</v>
      </c>
      <c r="M21" s="52">
        <f>M23+M24+M22</f>
        <v>13479.309000000001</v>
      </c>
      <c r="N21" s="57">
        <f t="shared" si="3"/>
        <v>2485.534999999998</v>
      </c>
      <c r="O21" s="52">
        <f>O23+O24+O22</f>
        <v>49224.935</v>
      </c>
      <c r="P21" s="54">
        <f t="shared" si="6"/>
        <v>40940.293999999994</v>
      </c>
      <c r="Q21" s="54">
        <f t="shared" si="4"/>
        <v>8284.641000000003</v>
      </c>
    </row>
    <row r="22" spans="1:17" ht="15.75">
      <c r="A22" s="24" t="s">
        <v>67</v>
      </c>
      <c r="B22" s="25" t="s">
        <v>89</v>
      </c>
      <c r="C22" s="52">
        <v>5.686</v>
      </c>
      <c r="D22" s="52">
        <v>1.23</v>
      </c>
      <c r="E22" s="57">
        <f t="shared" si="0"/>
        <v>4.4559999999999995</v>
      </c>
      <c r="F22" s="52">
        <v>68.23</v>
      </c>
      <c r="G22" s="52">
        <f>7.364+7.776</f>
        <v>15.14</v>
      </c>
      <c r="H22" s="57">
        <f t="shared" si="1"/>
        <v>53.09</v>
      </c>
      <c r="I22" s="52">
        <v>68.23</v>
      </c>
      <c r="J22" s="52">
        <f>7.776+8.033</f>
        <v>15.809</v>
      </c>
      <c r="K22" s="57">
        <f t="shared" si="2"/>
        <v>52.42100000000001</v>
      </c>
      <c r="L22" s="52">
        <v>68.23</v>
      </c>
      <c r="M22" s="52">
        <f>8.033+8.306</f>
        <v>16.339</v>
      </c>
      <c r="N22" s="57">
        <f t="shared" si="3"/>
        <v>51.891000000000005</v>
      </c>
      <c r="O22" s="54">
        <f>C22+F22+I22+L22</f>
        <v>210.37600000000003</v>
      </c>
      <c r="P22" s="54">
        <f>D22+G22+J22+M22</f>
        <v>48.518</v>
      </c>
      <c r="Q22" s="54">
        <f t="shared" si="4"/>
        <v>161.85800000000003</v>
      </c>
    </row>
    <row r="23" spans="1:17" ht="31.5">
      <c r="A23" s="24" t="s">
        <v>68</v>
      </c>
      <c r="B23" s="25" t="s">
        <v>48</v>
      </c>
      <c r="C23" s="52">
        <f>26.518+4.4</f>
        <v>30.918</v>
      </c>
      <c r="D23" s="52">
        <f>0+11.82</f>
        <v>11.82</v>
      </c>
      <c r="E23" s="57">
        <f t="shared" si="0"/>
        <v>19.098</v>
      </c>
      <c r="F23" s="52">
        <f>318.22+52.8</f>
        <v>371.02000000000004</v>
      </c>
      <c r="G23" s="52">
        <f>1.826+1.826+66.103+66.103</f>
        <v>135.858</v>
      </c>
      <c r="H23" s="57">
        <f t="shared" si="1"/>
        <v>235.16200000000003</v>
      </c>
      <c r="I23" s="52">
        <f>318.22+52.8</f>
        <v>371.02000000000004</v>
      </c>
      <c r="J23" s="52">
        <f>72.713+72.713+1.826+1.826</f>
        <v>149.07799999999997</v>
      </c>
      <c r="K23" s="57">
        <f t="shared" si="2"/>
        <v>221.94200000000006</v>
      </c>
      <c r="L23" s="52">
        <f>318.22+52.8</f>
        <v>371.02000000000004</v>
      </c>
      <c r="M23" s="52">
        <f>1.826+1.826+79.984+79.984</f>
        <v>163.62</v>
      </c>
      <c r="N23" s="57">
        <f t="shared" si="3"/>
        <v>207.40000000000003</v>
      </c>
      <c r="O23" s="54">
        <f>C23+F23+I23+L23</f>
        <v>1143.978</v>
      </c>
      <c r="P23" s="54">
        <f t="shared" si="6"/>
        <v>460.376</v>
      </c>
      <c r="Q23" s="54">
        <f t="shared" si="4"/>
        <v>683.6020000000001</v>
      </c>
    </row>
    <row r="24" spans="1:17" ht="15.75">
      <c r="A24" s="24" t="s">
        <v>69</v>
      </c>
      <c r="B24" s="25" t="s">
        <v>49</v>
      </c>
      <c r="C24" s="52">
        <v>1293.799</v>
      </c>
      <c r="D24" s="52">
        <f>775.32+294.83</f>
        <v>1070.15</v>
      </c>
      <c r="E24" s="57">
        <f t="shared" si="0"/>
        <v>223.6489999999999</v>
      </c>
      <c r="F24" s="52">
        <v>15525.594</v>
      </c>
      <c r="G24" s="52">
        <f>4651.91+4749.25+1768.99+1768.99</f>
        <v>12939.14</v>
      </c>
      <c r="H24" s="57">
        <f t="shared" si="1"/>
        <v>2586.4539999999997</v>
      </c>
      <c r="I24" s="52">
        <v>15525.594</v>
      </c>
      <c r="J24" s="52">
        <f>4749.25+4835.53+1768.99+1768.99</f>
        <v>13122.759999999998</v>
      </c>
      <c r="K24" s="57">
        <f t="shared" si="2"/>
        <v>2402.8340000000007</v>
      </c>
      <c r="L24" s="52">
        <v>15525.594</v>
      </c>
      <c r="M24" s="52">
        <f>4835.52+4925.85+1768.99+1768.99</f>
        <v>13299.35</v>
      </c>
      <c r="N24" s="57">
        <f t="shared" si="3"/>
        <v>2226.243999999999</v>
      </c>
      <c r="O24" s="54">
        <f>C24+F24+I24+L24</f>
        <v>47870.581</v>
      </c>
      <c r="P24" s="54">
        <f>D24+G24+J24+M24</f>
        <v>40431.399999999994</v>
      </c>
      <c r="Q24" s="54">
        <f t="shared" si="4"/>
        <v>7439.181000000004</v>
      </c>
    </row>
    <row r="25" spans="1:17" ht="47.25">
      <c r="A25" s="24" t="s">
        <v>70</v>
      </c>
      <c r="B25" s="25" t="s">
        <v>56</v>
      </c>
      <c r="C25" s="52">
        <v>219.89</v>
      </c>
      <c r="D25" s="52">
        <v>109.64</v>
      </c>
      <c r="E25" s="57">
        <f t="shared" si="0"/>
        <v>110.24999999999999</v>
      </c>
      <c r="F25" s="52">
        <v>2638.722</v>
      </c>
      <c r="G25" s="52">
        <f>3646.81+3683.08-2988.97-2989.38</f>
        <v>1351.54</v>
      </c>
      <c r="H25" s="57">
        <f t="shared" si="1"/>
        <v>1287.1820000000002</v>
      </c>
      <c r="I25" s="52">
        <v>2638.722</v>
      </c>
      <c r="J25" s="53">
        <f>3689.69+3721.74-2995.99-2996.25</f>
        <v>1419.1900000000005</v>
      </c>
      <c r="K25" s="57">
        <f t="shared" si="2"/>
        <v>1219.5319999999997</v>
      </c>
      <c r="L25" s="52">
        <v>2638.722</v>
      </c>
      <c r="M25" s="53">
        <f>3729.02+3762.61-2913.68-2913.68-M22-M23</f>
        <v>1484.311000000001</v>
      </c>
      <c r="N25" s="57">
        <f t="shared" si="3"/>
        <v>1154.4109999999991</v>
      </c>
      <c r="O25" s="54">
        <f>C25+F25+I25+L25</f>
        <v>8136.0560000000005</v>
      </c>
      <c r="P25" s="54">
        <f t="shared" si="6"/>
        <v>4364.681000000002</v>
      </c>
      <c r="Q25" s="54">
        <f t="shared" si="4"/>
        <v>3771.374999999998</v>
      </c>
    </row>
    <row r="26" spans="1:17" ht="31.5">
      <c r="A26" s="24" t="s">
        <v>71</v>
      </c>
      <c r="B26" s="25" t="s">
        <v>50</v>
      </c>
      <c r="C26" s="52">
        <v>156.879</v>
      </c>
      <c r="D26" s="52">
        <v>76.8</v>
      </c>
      <c r="E26" s="57">
        <f t="shared" si="0"/>
        <v>80.079</v>
      </c>
      <c r="F26" s="52">
        <v>1882.54</v>
      </c>
      <c r="G26" s="52">
        <f>460.77+486.58</f>
        <v>947.3499999999999</v>
      </c>
      <c r="H26" s="57">
        <f t="shared" si="1"/>
        <v>935.19</v>
      </c>
      <c r="I26" s="52">
        <v>1882.54</v>
      </c>
      <c r="J26" s="52">
        <f>486.58+509.45</f>
        <v>996.03</v>
      </c>
      <c r="K26" s="57">
        <f t="shared" si="2"/>
        <v>886.51</v>
      </c>
      <c r="L26" s="52">
        <v>1882.54</v>
      </c>
      <c r="M26" s="52">
        <f>509.45+533.39</f>
        <v>1042.84</v>
      </c>
      <c r="N26" s="57">
        <f t="shared" si="3"/>
        <v>839.7</v>
      </c>
      <c r="O26" s="52">
        <v>1882.54</v>
      </c>
      <c r="P26" s="54">
        <f t="shared" si="6"/>
        <v>3063.0199999999995</v>
      </c>
      <c r="Q26" s="54">
        <f t="shared" si="4"/>
        <v>-1180.4799999999996</v>
      </c>
    </row>
    <row r="27" spans="1:17" ht="31.5">
      <c r="A27" s="50" t="s">
        <v>72</v>
      </c>
      <c r="B27" s="25" t="s">
        <v>52</v>
      </c>
      <c r="C27" s="52">
        <v>5.21</v>
      </c>
      <c r="D27" s="52">
        <v>4</v>
      </c>
      <c r="E27" s="57">
        <f t="shared" si="0"/>
        <v>1.21</v>
      </c>
      <c r="F27" s="52">
        <v>5.21</v>
      </c>
      <c r="G27" s="52">
        <v>4</v>
      </c>
      <c r="H27" s="57">
        <f t="shared" si="1"/>
        <v>1.21</v>
      </c>
      <c r="I27" s="52">
        <v>5.21</v>
      </c>
      <c r="J27" s="52">
        <v>4</v>
      </c>
      <c r="K27" s="57">
        <f t="shared" si="2"/>
        <v>1.21</v>
      </c>
      <c r="L27" s="52">
        <v>5.21</v>
      </c>
      <c r="M27" s="52">
        <v>4</v>
      </c>
      <c r="N27" s="57">
        <f t="shared" si="3"/>
        <v>1.21</v>
      </c>
      <c r="O27" s="52">
        <v>5.21</v>
      </c>
      <c r="P27" s="54"/>
      <c r="Q27" s="54">
        <f t="shared" si="4"/>
        <v>5.21</v>
      </c>
    </row>
    <row r="28" spans="1:17" ht="31.5">
      <c r="A28" s="24" t="s">
        <v>73</v>
      </c>
      <c r="B28" s="25" t="s">
        <v>44</v>
      </c>
      <c r="C28" s="52">
        <v>48.162</v>
      </c>
      <c r="D28" s="52">
        <v>23.58</v>
      </c>
      <c r="E28" s="57">
        <f t="shared" si="0"/>
        <v>24.582</v>
      </c>
      <c r="F28" s="52">
        <v>577.94</v>
      </c>
      <c r="G28" s="52">
        <f>141.46+149.38</f>
        <v>290.84000000000003</v>
      </c>
      <c r="H28" s="57">
        <f t="shared" si="1"/>
        <v>287.1</v>
      </c>
      <c r="I28" s="52">
        <v>577.94</v>
      </c>
      <c r="J28" s="52">
        <f>149.38+156.4</f>
        <v>305.78</v>
      </c>
      <c r="K28" s="57">
        <f t="shared" si="2"/>
        <v>272.1600000000001</v>
      </c>
      <c r="L28" s="52">
        <v>577.94</v>
      </c>
      <c r="M28" s="52">
        <f>156.4+163.75</f>
        <v>320.15</v>
      </c>
      <c r="N28" s="57">
        <f t="shared" si="3"/>
        <v>257.7900000000001</v>
      </c>
      <c r="O28" s="52">
        <f aca="true" t="shared" si="7" ref="O28:P31">C28+F28+I28+L28</f>
        <v>1781.9820000000002</v>
      </c>
      <c r="P28" s="54">
        <f t="shared" si="7"/>
        <v>940.35</v>
      </c>
      <c r="Q28" s="54">
        <f t="shared" si="4"/>
        <v>841.6320000000002</v>
      </c>
    </row>
    <row r="29" spans="1:17" ht="47.25">
      <c r="A29" s="24" t="s">
        <v>74</v>
      </c>
      <c r="B29" s="25" t="s">
        <v>57</v>
      </c>
      <c r="C29" s="52">
        <v>1070.84</v>
      </c>
      <c r="D29" s="52">
        <v>208.99</v>
      </c>
      <c r="E29" s="57">
        <f t="shared" si="0"/>
        <v>861.8499999999999</v>
      </c>
      <c r="F29" s="52">
        <v>12850.084</v>
      </c>
      <c r="G29" s="52">
        <f>1253.97+1314.38</f>
        <v>2568.3500000000004</v>
      </c>
      <c r="H29" s="57">
        <f t="shared" si="1"/>
        <v>10281.734</v>
      </c>
      <c r="I29" s="52">
        <v>12850.084</v>
      </c>
      <c r="J29" s="53">
        <f>1314.38+1367.91</f>
        <v>2682.29</v>
      </c>
      <c r="K29" s="57">
        <f>I29-J29</f>
        <v>10167.794000000002</v>
      </c>
      <c r="L29" s="52">
        <v>12850.084</v>
      </c>
      <c r="M29" s="53">
        <f>1367.909+1423.98</f>
        <v>2791.889</v>
      </c>
      <c r="N29" s="57">
        <f t="shared" si="3"/>
        <v>10058.195</v>
      </c>
      <c r="O29" s="52">
        <f t="shared" si="7"/>
        <v>39621.092000000004</v>
      </c>
      <c r="P29" s="54">
        <f t="shared" si="7"/>
        <v>8251.519</v>
      </c>
      <c r="Q29" s="54">
        <f t="shared" si="4"/>
        <v>31369.573000000004</v>
      </c>
    </row>
    <row r="30" spans="1:17" ht="63">
      <c r="A30" s="24" t="s">
        <v>75</v>
      </c>
      <c r="B30" s="25" t="s">
        <v>51</v>
      </c>
      <c r="C30" s="52">
        <v>782.066</v>
      </c>
      <c r="D30" s="52">
        <v>137.558</v>
      </c>
      <c r="E30" s="57">
        <f>C30-D30</f>
        <v>644.508</v>
      </c>
      <c r="F30" s="52">
        <v>9384.797</v>
      </c>
      <c r="G30" s="52">
        <f>825.35+871.567</f>
        <v>1696.917</v>
      </c>
      <c r="H30" s="57">
        <f t="shared" si="1"/>
        <v>7687.880000000001</v>
      </c>
      <c r="I30" s="52">
        <v>9384.797</v>
      </c>
      <c r="J30" s="52">
        <f>871.59+912.55</f>
        <v>1784.1399999999999</v>
      </c>
      <c r="K30" s="57">
        <f t="shared" si="2"/>
        <v>7600.657000000001</v>
      </c>
      <c r="L30" s="52">
        <v>9384.797</v>
      </c>
      <c r="M30" s="52">
        <f>912.53+955.419</f>
        <v>1867.949</v>
      </c>
      <c r="N30" s="57">
        <f t="shared" si="3"/>
        <v>7516.848</v>
      </c>
      <c r="O30" s="52">
        <f t="shared" si="7"/>
        <v>28936.457000000002</v>
      </c>
      <c r="P30" s="54">
        <f>D30+G30+J30+M30</f>
        <v>5486.564</v>
      </c>
      <c r="Q30" s="54">
        <f t="shared" si="4"/>
        <v>23449.893000000004</v>
      </c>
    </row>
    <row r="31" spans="1:17" ht="31.5">
      <c r="A31" s="24" t="s">
        <v>76</v>
      </c>
      <c r="B31" s="25" t="s">
        <v>44</v>
      </c>
      <c r="C31" s="52">
        <v>240.094</v>
      </c>
      <c r="D31" s="52">
        <v>42.23</v>
      </c>
      <c r="E31" s="57">
        <f t="shared" si="0"/>
        <v>197.864</v>
      </c>
      <c r="F31" s="52">
        <v>2881.133</v>
      </c>
      <c r="G31" s="52">
        <f>253.381+267.571</f>
        <v>520.952</v>
      </c>
      <c r="H31" s="57">
        <f t="shared" si="1"/>
        <v>2360.1809999999996</v>
      </c>
      <c r="I31" s="52">
        <v>2881.133</v>
      </c>
      <c r="J31" s="52">
        <f>267.59+280.19</f>
        <v>547.78</v>
      </c>
      <c r="K31" s="57">
        <f t="shared" si="2"/>
        <v>2333.353</v>
      </c>
      <c r="L31" s="52">
        <v>2881.133</v>
      </c>
      <c r="M31" s="52">
        <f>280.147+293.314</f>
        <v>573.461</v>
      </c>
      <c r="N31" s="57">
        <f t="shared" si="3"/>
        <v>2307.6719999999996</v>
      </c>
      <c r="O31" s="52">
        <f t="shared" si="7"/>
        <v>8883.492999999999</v>
      </c>
      <c r="P31" s="54">
        <f t="shared" si="7"/>
        <v>1684.423</v>
      </c>
      <c r="Q31" s="54">
        <f t="shared" si="4"/>
        <v>7199.069999999999</v>
      </c>
    </row>
    <row r="32" spans="1:17" ht="63">
      <c r="A32" s="24"/>
      <c r="B32" s="25" t="s">
        <v>77</v>
      </c>
      <c r="C32" s="52">
        <f>C12+C13+C15+C16+C21+C25+C29</f>
        <v>2807.2699999999995</v>
      </c>
      <c r="D32" s="52">
        <f>D12+D13+D15+D16+D21+D25+D29</f>
        <v>1438.0620000000001</v>
      </c>
      <c r="E32" s="52">
        <f aca="true" t="shared" si="8" ref="E32:L32">E12+E13+E15+E16+E21+E25+E29</f>
        <v>1369.2079999999996</v>
      </c>
      <c r="F32" s="52">
        <f t="shared" si="8"/>
        <v>33687.310000000005</v>
      </c>
      <c r="G32" s="52">
        <f t="shared" si="8"/>
        <v>17455.220999999998</v>
      </c>
      <c r="H32" s="52">
        <f t="shared" si="8"/>
        <v>16232.089</v>
      </c>
      <c r="I32" s="52">
        <f t="shared" si="8"/>
        <v>33687.310000000005</v>
      </c>
      <c r="J32" s="52">
        <f t="shared" si="8"/>
        <v>17854.005999999998</v>
      </c>
      <c r="K32" s="52">
        <f t="shared" si="8"/>
        <v>15833.304000000004</v>
      </c>
      <c r="L32" s="52">
        <f t="shared" si="8"/>
        <v>33687.310000000005</v>
      </c>
      <c r="M32" s="52">
        <f>M12+M13+M15+M16+M21+M25+M29</f>
        <v>18239.326000000005</v>
      </c>
      <c r="N32" s="57">
        <f>L32-M32</f>
        <v>15447.984</v>
      </c>
      <c r="O32" s="52">
        <f>O12+O13+O15+O16+O21+O25+O29</f>
        <v>103869.2</v>
      </c>
      <c r="P32" s="54">
        <f>D32+G32+J32+M32</f>
        <v>54986.615000000005</v>
      </c>
      <c r="Q32" s="54">
        <f t="shared" si="4"/>
        <v>48882.58499999999</v>
      </c>
    </row>
    <row r="33" spans="1:17" ht="31.5">
      <c r="A33" s="24" t="s">
        <v>32</v>
      </c>
      <c r="B33" s="25" t="s">
        <v>79</v>
      </c>
      <c r="C33" s="25"/>
      <c r="D33" s="25"/>
      <c r="E33" s="25"/>
      <c r="F33" s="36"/>
      <c r="G33" s="36"/>
      <c r="H33" s="37"/>
      <c r="I33" s="37"/>
      <c r="J33" s="37"/>
      <c r="K33" s="37"/>
      <c r="L33" s="37"/>
      <c r="M33" s="37"/>
      <c r="N33" s="37"/>
      <c r="O33" s="38"/>
      <c r="P33" s="38"/>
      <c r="Q33" s="38">
        <f t="shared" si="4"/>
        <v>0</v>
      </c>
    </row>
    <row r="34" spans="1:17" ht="92.25" customHeight="1">
      <c r="A34" s="24" t="s">
        <v>46</v>
      </c>
      <c r="B34" s="25" t="s">
        <v>78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3">
        <v>0</v>
      </c>
      <c r="I34" s="53">
        <v>0</v>
      </c>
      <c r="J34" s="52">
        <v>0</v>
      </c>
      <c r="K34" s="53">
        <v>0</v>
      </c>
      <c r="L34" s="53">
        <v>0</v>
      </c>
      <c r="M34" s="52">
        <v>0</v>
      </c>
      <c r="N34" s="53">
        <v>0</v>
      </c>
      <c r="O34" s="54">
        <v>0</v>
      </c>
      <c r="P34" s="54">
        <v>0</v>
      </c>
      <c r="Q34" s="54">
        <f t="shared" si="4"/>
        <v>0</v>
      </c>
    </row>
    <row r="35" spans="1:17" ht="31.5">
      <c r="A35" s="24" t="s">
        <v>82</v>
      </c>
      <c r="B35" s="25" t="s">
        <v>81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3">
        <v>0</v>
      </c>
      <c r="I35" s="52">
        <v>0</v>
      </c>
      <c r="J35" s="52">
        <v>0</v>
      </c>
      <c r="K35" s="53">
        <v>0</v>
      </c>
      <c r="L35" s="52">
        <v>0</v>
      </c>
      <c r="M35" s="52">
        <v>0</v>
      </c>
      <c r="N35" s="53">
        <v>0</v>
      </c>
      <c r="O35" s="52">
        <v>0</v>
      </c>
      <c r="P35" s="54">
        <v>0</v>
      </c>
      <c r="Q35" s="54">
        <f t="shared" si="4"/>
        <v>0</v>
      </c>
    </row>
    <row r="36" spans="1:17" ht="94.5">
      <c r="A36" s="50" t="s">
        <v>83</v>
      </c>
      <c r="B36" s="46" t="s">
        <v>80</v>
      </c>
      <c r="C36" s="55">
        <v>0</v>
      </c>
      <c r="D36" s="55">
        <v>0</v>
      </c>
      <c r="E36" s="55">
        <v>0</v>
      </c>
      <c r="F36" s="52">
        <v>0</v>
      </c>
      <c r="G36" s="52">
        <v>0</v>
      </c>
      <c r="H36" s="53">
        <v>0</v>
      </c>
      <c r="I36" s="53">
        <v>0</v>
      </c>
      <c r="J36" s="52">
        <v>0</v>
      </c>
      <c r="K36" s="53">
        <v>0</v>
      </c>
      <c r="L36" s="53">
        <v>0</v>
      </c>
      <c r="M36" s="52">
        <v>0</v>
      </c>
      <c r="N36" s="53">
        <v>0</v>
      </c>
      <c r="O36" s="54">
        <v>0</v>
      </c>
      <c r="P36" s="54">
        <v>0</v>
      </c>
      <c r="Q36" s="54">
        <f t="shared" si="4"/>
        <v>0</v>
      </c>
    </row>
    <row r="37" spans="1:17" ht="47.25">
      <c r="A37" s="24"/>
      <c r="B37" s="25" t="s">
        <v>84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4">
        <v>0</v>
      </c>
      <c r="P37" s="54">
        <v>0</v>
      </c>
      <c r="Q37" s="54">
        <f t="shared" si="4"/>
        <v>0</v>
      </c>
    </row>
    <row r="38" spans="1:17" ht="126">
      <c r="A38" s="51" t="s">
        <v>85</v>
      </c>
      <c r="B38" s="25" t="s">
        <v>86</v>
      </c>
      <c r="C38" s="52">
        <f>C32+C37</f>
        <v>2807.2699999999995</v>
      </c>
      <c r="D38" s="52">
        <f>D32+D37</f>
        <v>1438.0620000000001</v>
      </c>
      <c r="E38" s="52">
        <f aca="true" t="shared" si="9" ref="E38:P38">E32+E37</f>
        <v>1369.2079999999996</v>
      </c>
      <c r="F38" s="52">
        <f t="shared" si="9"/>
        <v>33687.310000000005</v>
      </c>
      <c r="G38" s="52">
        <f t="shared" si="9"/>
        <v>17455.220999999998</v>
      </c>
      <c r="H38" s="52">
        <f t="shared" si="9"/>
        <v>16232.089</v>
      </c>
      <c r="I38" s="52">
        <f t="shared" si="9"/>
        <v>33687.310000000005</v>
      </c>
      <c r="J38" s="52">
        <f t="shared" si="9"/>
        <v>17854.005999999998</v>
      </c>
      <c r="K38" s="52">
        <f t="shared" si="9"/>
        <v>15833.304000000004</v>
      </c>
      <c r="L38" s="52">
        <f t="shared" si="9"/>
        <v>33687.310000000005</v>
      </c>
      <c r="M38" s="52">
        <f t="shared" si="9"/>
        <v>18239.326000000005</v>
      </c>
      <c r="N38" s="52">
        <f t="shared" si="9"/>
        <v>15447.984</v>
      </c>
      <c r="O38" s="52">
        <f t="shared" si="9"/>
        <v>103869.2</v>
      </c>
      <c r="P38" s="52">
        <f t="shared" si="9"/>
        <v>54986.615000000005</v>
      </c>
      <c r="Q38" s="54">
        <f t="shared" si="4"/>
        <v>48882.58499999999</v>
      </c>
    </row>
  </sheetData>
  <sheetProtection/>
  <mergeCells count="11">
    <mergeCell ref="O7:Q7"/>
    <mergeCell ref="A7:A8"/>
    <mergeCell ref="B7:B8"/>
    <mergeCell ref="F7:H7"/>
    <mergeCell ref="F2:H2"/>
    <mergeCell ref="A5:N5"/>
    <mergeCell ref="I7:K7"/>
    <mergeCell ref="L7:N7"/>
    <mergeCell ref="A4:N4"/>
    <mergeCell ref="K2:N2"/>
    <mergeCell ref="C7:E7"/>
  </mergeCells>
  <printOptions/>
  <pageMargins left="0.2755905511811024" right="0.1968503937007874" top="0.2755905511811024" bottom="0.7874015748031497" header="0.196850393700787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4.28125" style="9" customWidth="1"/>
    <col min="2" max="2" width="30.28125" style="9" customWidth="1"/>
    <col min="3" max="10" width="13.00390625" style="9" customWidth="1"/>
    <col min="11" max="16384" width="9.140625" style="9" customWidth="1"/>
  </cols>
  <sheetData>
    <row r="1" spans="7:13" ht="57.75" customHeight="1">
      <c r="G1" s="10"/>
      <c r="H1" s="77" t="s">
        <v>92</v>
      </c>
      <c r="I1" s="78"/>
      <c r="J1" s="78"/>
      <c r="K1" s="11"/>
      <c r="L1" s="11"/>
      <c r="M1" s="11"/>
    </row>
    <row r="3" spans="1:13" ht="66.7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12"/>
      <c r="L3" s="12"/>
      <c r="M3" s="12"/>
    </row>
    <row r="5" spans="1:10" s="13" customFormat="1" ht="50.25" customHeight="1">
      <c r="A5" s="80" t="s">
        <v>6</v>
      </c>
      <c r="B5" s="80" t="s">
        <v>11</v>
      </c>
      <c r="C5" s="80" t="s">
        <v>8</v>
      </c>
      <c r="D5" s="81" t="s">
        <v>24</v>
      </c>
      <c r="E5" s="82"/>
      <c r="F5" s="82"/>
      <c r="G5" s="82"/>
      <c r="H5" s="82"/>
      <c r="I5" s="82"/>
      <c r="J5" s="83"/>
    </row>
    <row r="6" spans="1:10" s="13" customFormat="1" ht="85.5" customHeight="1">
      <c r="A6" s="80"/>
      <c r="B6" s="80"/>
      <c r="C6" s="80"/>
      <c r="D6" s="23" t="s">
        <v>93</v>
      </c>
      <c r="E6" s="14" t="s">
        <v>25</v>
      </c>
      <c r="F6" s="14" t="s">
        <v>26</v>
      </c>
      <c r="G6" s="14" t="s">
        <v>27</v>
      </c>
      <c r="H6" s="14" t="s">
        <v>28</v>
      </c>
      <c r="I6" s="4" t="s">
        <v>29</v>
      </c>
      <c r="J6" s="4" t="s">
        <v>30</v>
      </c>
    </row>
    <row r="7" spans="1:10" s="13" customFormat="1" ht="15.75">
      <c r="A7" s="8">
        <v>1</v>
      </c>
      <c r="B7" s="29">
        <v>2</v>
      </c>
      <c r="C7" s="29">
        <v>3</v>
      </c>
      <c r="D7" s="29">
        <v>4</v>
      </c>
      <c r="E7" s="15">
        <v>5</v>
      </c>
      <c r="F7" s="15">
        <v>6</v>
      </c>
      <c r="G7" s="15">
        <v>7</v>
      </c>
      <c r="H7" s="15">
        <v>8</v>
      </c>
      <c r="I7" s="30">
        <v>9</v>
      </c>
      <c r="J7" s="30">
        <v>10</v>
      </c>
    </row>
    <row r="8" spans="1:10" s="13" customFormat="1" ht="52.5" customHeight="1">
      <c r="A8" s="8" t="s">
        <v>31</v>
      </c>
      <c r="B8" s="7" t="s">
        <v>12</v>
      </c>
      <c r="C8" s="8" t="s">
        <v>13</v>
      </c>
      <c r="D8" s="23">
        <v>157.74</v>
      </c>
      <c r="E8" s="16">
        <v>157.68</v>
      </c>
      <c r="F8" s="16">
        <v>161.42</v>
      </c>
      <c r="G8" s="15">
        <v>161.54</v>
      </c>
      <c r="H8" s="17">
        <v>164.85</v>
      </c>
      <c r="I8" s="15">
        <v>164.99</v>
      </c>
      <c r="J8" s="15">
        <v>168.45</v>
      </c>
    </row>
    <row r="9" spans="1:10" ht="52.5" customHeight="1">
      <c r="A9" s="8" t="s">
        <v>32</v>
      </c>
      <c r="B9" s="7" t="s">
        <v>14</v>
      </c>
      <c r="C9" s="8" t="s">
        <v>13</v>
      </c>
      <c r="D9" s="23">
        <v>157.74</v>
      </c>
      <c r="E9" s="16">
        <v>157.68</v>
      </c>
      <c r="F9" s="16">
        <v>161.42</v>
      </c>
      <c r="G9" s="15">
        <v>161.54</v>
      </c>
      <c r="H9" s="17">
        <v>164.85</v>
      </c>
      <c r="I9" s="15">
        <v>164.99</v>
      </c>
      <c r="J9" s="15">
        <v>168.45</v>
      </c>
    </row>
    <row r="11" spans="1:10" ht="56.25" customHeight="1">
      <c r="A11" s="76" t="s">
        <v>94</v>
      </c>
      <c r="B11" s="76"/>
      <c r="C11" s="76"/>
      <c r="D11" s="76"/>
      <c r="E11" s="76"/>
      <c r="F11" s="76"/>
      <c r="G11" s="76"/>
      <c r="H11" s="76"/>
      <c r="I11" s="76"/>
      <c r="J11" s="76"/>
    </row>
  </sheetData>
  <sheetProtection/>
  <mergeCells count="7">
    <mergeCell ref="A11:J11"/>
    <mergeCell ref="H1:J1"/>
    <mergeCell ref="A3:J3"/>
    <mergeCell ref="A5:A6"/>
    <mergeCell ref="B5:B6"/>
    <mergeCell ref="C5:C6"/>
    <mergeCell ref="D5:J5"/>
  </mergeCells>
  <printOptions/>
  <pageMargins left="0.5833333333333334" right="0.40625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2014-03-03T04:05:03Z</cp:lastPrinted>
  <dcterms:created xsi:type="dcterms:W3CDTF">1996-10-08T23:32:33Z</dcterms:created>
  <dcterms:modified xsi:type="dcterms:W3CDTF">2014-03-03T04:39:42Z</dcterms:modified>
  <cp:category/>
  <cp:version/>
  <cp:contentType/>
  <cp:contentStatus/>
</cp:coreProperties>
</file>